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10680" activeTab="0"/>
  </bookViews>
  <sheets>
    <sheet name="1 Step" sheetId="1" r:id="rId1"/>
    <sheet name="2 Step" sheetId="2" r:id="rId2"/>
    <sheet name="Sheet3" sheetId="3" r:id="rId3"/>
    <sheet name="New Calc" sheetId="4" r:id="rId4"/>
    <sheet name="Water Needed" sheetId="5" r:id="rId5"/>
  </sheets>
  <definedNames/>
  <calcPr fullCalcOnLoad="1"/>
</workbook>
</file>

<file path=xl/comments1.xml><?xml version="1.0" encoding="utf-8"?>
<comments xmlns="http://schemas.openxmlformats.org/spreadsheetml/2006/main">
  <authors>
    <author>Wile E Coyote</author>
  </authors>
  <commentList>
    <comment ref="C4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Enter the duration of the rest in minutes. This is just for your info when you are mashing</t>
        </r>
      </text>
    </comment>
    <comment ref="C10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a calculated cell so do not enter a number here.</t>
        </r>
      </text>
    </comment>
    <comment ref="C11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a calculated cell so do not enter a number here.</t>
        </r>
      </text>
    </comment>
    <comment ref="C19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a calculated cell so do not enter a number here.</t>
        </r>
      </text>
    </comment>
    <comment ref="C22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a calculated cell so do not enter a number here.</t>
        </r>
      </text>
    </comment>
    <comment ref="C23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a calculated cell so do not enter a number here.</t>
        </r>
      </text>
    </comment>
    <comment ref="C25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a calculated cell so do not enter a number here.</t>
        </r>
      </text>
    </comment>
    <comment ref="C28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a calculated cell so do not enter a number here.</t>
        </r>
      </text>
    </comment>
    <comment ref="C33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a calculated cell so do not enter a number here.</t>
        </r>
      </text>
    </comment>
    <comment ref="C35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a calculated cell so do not enter a number here.</t>
        </r>
      </text>
    </comment>
    <comment ref="C36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a calculated cell so do not enter a number here.</t>
        </r>
      </text>
    </comment>
    <comment ref="C6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Enter the ratio of water to grain in quarts per pound that you want to start the mash with</t>
        </r>
      </text>
    </comment>
    <comment ref="C7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Enter the temperature of the grist(grain). Normally this will be the room temperature where the grain is stored</t>
        </r>
      </text>
    </comment>
    <comment ref="C8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Enter the temperature you want for this rest.</t>
        </r>
      </text>
    </comment>
    <comment ref="C9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Enter the weght of the dry grain in pounds</t>
        </r>
      </text>
    </comment>
    <comment ref="C14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Enter the duration of the rest in minutes. This is just for your info when you are mashing</t>
        </r>
      </text>
    </comment>
    <comment ref="C16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Put the actual temperature that the previous rest was here. For primary calculations put the Target Rest Temperature of the previous rest</t>
        </r>
      </text>
    </comment>
    <comment ref="C17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Enter the temperature you want for this rest.</t>
        </r>
      </text>
    </comment>
    <comment ref="C18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the temperature of the infusion water. It can be up to 210°F. Lower the temperature to get more water in the mash to balance the water in the sparge</t>
        </r>
      </text>
    </comment>
    <comment ref="C24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Put any additional water losses in quarts here. This would include any wort left in the boil pot or CFC etc.</t>
        </r>
      </text>
    </comment>
    <comment ref="C26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Put here how much sparge water you will use</t>
        </r>
      </text>
    </comment>
    <comment ref="C29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How long you plan to boil</t>
        </r>
      </text>
    </comment>
    <comment ref="D1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Record your actual numbers in this colum</t>
        </r>
      </text>
    </comment>
    <comment ref="A1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After you fill in all the data print this sheet out so you will have it handy while you mash and boil</t>
        </r>
      </text>
    </comment>
    <comment ref="B33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Put here the amount of pellet hops you will use</t>
        </r>
      </text>
    </comment>
    <comment ref="B35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Put here the amount of whole hops you will use</t>
        </r>
      </text>
    </comment>
    <comment ref="C30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You will have to calculate this based on experience on your equipment. 1.5 is a good place to start.</t>
        </r>
      </text>
    </comment>
    <comment ref="B34" authorId="0">
      <text>
        <r>
          <rPr>
            <b/>
            <sz val="8"/>
            <rFont val="Tahoma"/>
            <family val="0"/>
          </rPr>
          <t>Wile E Coyote:</t>
        </r>
        <r>
          <rPr>
            <sz val="8"/>
            <rFont val="Tahoma"/>
            <family val="0"/>
          </rPr>
          <t xml:space="preserve">
This is the volume in gallons the pellet hops takes up in the brew pot</t>
        </r>
      </text>
    </comment>
  </commentList>
</comments>
</file>

<file path=xl/sharedStrings.xml><?xml version="1.0" encoding="utf-8"?>
<sst xmlns="http://schemas.openxmlformats.org/spreadsheetml/2006/main" count="134" uniqueCount="81">
  <si>
    <t>Session Date =</t>
  </si>
  <si>
    <t>Actual</t>
  </si>
  <si>
    <t>Beer</t>
  </si>
  <si>
    <t>Protien Rest</t>
  </si>
  <si>
    <t>Tw = (.2/r)(T2 - T1) + T2</t>
  </si>
  <si>
    <t>Ratio of water to grain quarts/pound</t>
  </si>
  <si>
    <t>r</t>
  </si>
  <si>
    <t>Grist Temperature</t>
  </si>
  <si>
    <t>T1</t>
  </si>
  <si>
    <t>Target Mash Temp</t>
  </si>
  <si>
    <t>T2</t>
  </si>
  <si>
    <t>Weight of Grain in Pounds</t>
  </si>
  <si>
    <t>G</t>
  </si>
  <si>
    <t>Strike Water Quarts ---&gt;</t>
  </si>
  <si>
    <t>Wm</t>
  </si>
  <si>
    <t>Strike Water Temperature ---&gt;</t>
  </si>
  <si>
    <t>Tw</t>
  </si>
  <si>
    <t>Saccharification Rest</t>
  </si>
  <si>
    <t>Wa = (T2 - T1)(.2G + Wm)/(Tw - T2)</t>
  </si>
  <si>
    <t>Initial Mash Temp</t>
  </si>
  <si>
    <t>The temperature (°F) of the infusion water</t>
  </si>
  <si>
    <t>Infusion Amount Quarts --&gt;</t>
  </si>
  <si>
    <t>Wa</t>
  </si>
  <si>
    <t>Mash Out</t>
  </si>
  <si>
    <t>Total Water Added Quarts</t>
  </si>
  <si>
    <t>Grain Absorbtion Quarts</t>
  </si>
  <si>
    <t>Additional Losses Quarts</t>
  </si>
  <si>
    <t>Total Gallons First Runnings</t>
  </si>
  <si>
    <t>Sparge Water Gallons</t>
  </si>
  <si>
    <t>Total to Boil Pot Gallons</t>
  </si>
  <si>
    <t>Total to Fermentator Gallons</t>
  </si>
  <si>
    <t>Boil Time Minutes</t>
  </si>
  <si>
    <t>Boil Off Percentage</t>
  </si>
  <si>
    <t>Duration</t>
  </si>
  <si>
    <t>15 - 25</t>
  </si>
  <si>
    <t>35 - 45</t>
  </si>
  <si>
    <t>50 - 60</t>
  </si>
  <si>
    <t>5 - 10</t>
  </si>
  <si>
    <t>10 - 15</t>
  </si>
  <si>
    <t>Protien Rest Offset Degrees</t>
  </si>
  <si>
    <t>Saccharification Rest Offset Degrees</t>
  </si>
  <si>
    <t>whole leaf (flower) = oz./hops x 0.045gal</t>
  </si>
  <si>
    <t>pellets = oz./hops x .02gal</t>
  </si>
  <si>
    <t>Pellet Hops oz. x 0.02</t>
  </si>
  <si>
    <t>Whole Leaf Hops oz. x 0.045</t>
  </si>
  <si>
    <t>Target Rest Temp</t>
  </si>
  <si>
    <t>Boil Off Gallons</t>
  </si>
  <si>
    <t>Malt Weight in Pounds</t>
  </si>
  <si>
    <t>Malt % Moisture</t>
  </si>
  <si>
    <t>Malt Heat Capacity</t>
  </si>
  <si>
    <t>Strike Water Infustion Gallons</t>
  </si>
  <si>
    <t>Ratio of Water to Grain qts/lb</t>
  </si>
  <si>
    <t>Target Temperature</t>
  </si>
  <si>
    <t>Strike Water Temperature</t>
  </si>
  <si>
    <t>Malt Temperature</t>
  </si>
  <si>
    <t>Mass of Strike Water in Pounds</t>
  </si>
  <si>
    <t>Humidity</t>
  </si>
  <si>
    <t>Boil Off Rate Gallons per Hour @ 100% Humidity</t>
  </si>
  <si>
    <t>SG = (W * PE * EE)/ V</t>
  </si>
  <si>
    <t xml:space="preserve">where W equals weight in pounds, PE equals potential extract in point gallons per pound (or ppg ÷ points per pound per gallon), EE equals extract efficiency as a decimal (i.e. 65% is 0.65) and V is volume in gallons. This equation gives you the specific gravity (SG) in gravity points (GP) (i.e. an SG of 48 corresponds to a specific gravity of 1.048). The SG can be calculated for each ingredient and summed to obtain the original gravity (OG) of the beer. </t>
  </si>
  <si>
    <t>Pounds</t>
  </si>
  <si>
    <t>ppppg</t>
  </si>
  <si>
    <t>Percent Yeild</t>
  </si>
  <si>
    <t>OG</t>
  </si>
  <si>
    <t>Total</t>
  </si>
  <si>
    <t>Yield</t>
  </si>
  <si>
    <t>Total Points</t>
  </si>
  <si>
    <t>Extraction Effiency</t>
  </si>
  <si>
    <t>Points</t>
  </si>
  <si>
    <t>Grain #1</t>
  </si>
  <si>
    <t>Grain #2</t>
  </si>
  <si>
    <t>Grain #3</t>
  </si>
  <si>
    <t>Grain #4</t>
  </si>
  <si>
    <t>Grain #5</t>
  </si>
  <si>
    <t>Grain #6</t>
  </si>
  <si>
    <t>Batch Size</t>
  </si>
  <si>
    <t>Total to Fermenter Gallons</t>
  </si>
  <si>
    <t>Pellet Hops oz. x 0.02 = gallons</t>
  </si>
  <si>
    <t>Whole Leaf Hops oz. x 0.045 = gallons</t>
  </si>
  <si>
    <t xml:space="preserve">Pellet Hops Volume per oz. </t>
  </si>
  <si>
    <t>Space Used Gallons ---&gt;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</si>
</sst>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°\ \F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.000"/>
  </numFmts>
  <fonts count="9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2" fillId="0" borderId="5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65" fontId="3" fillId="2" borderId="12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9" fontId="0" fillId="3" borderId="5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165" fontId="3" fillId="2" borderId="16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9" fontId="0" fillId="4" borderId="8" xfId="0" applyNumberFormat="1" applyFill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17" xfId="0" applyBorder="1" applyAlignment="1">
      <alignment/>
    </xf>
    <xf numFmtId="0" fontId="0" fillId="4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4" borderId="20" xfId="0" applyFill="1" applyBorder="1" applyAlignment="1">
      <alignment horizontal="center"/>
    </xf>
    <xf numFmtId="9" fontId="0" fillId="4" borderId="20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164" fontId="0" fillId="2" borderId="2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3" fillId="2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41.140625" style="0" customWidth="1"/>
  </cols>
  <sheetData>
    <row r="1" spans="1:4" ht="12.75">
      <c r="A1" s="1" t="s">
        <v>0</v>
      </c>
      <c r="B1" s="2"/>
      <c r="C1" s="2"/>
      <c r="D1" s="28" t="s">
        <v>1</v>
      </c>
    </row>
    <row r="2" spans="1:4" ht="12.75">
      <c r="A2" s="4" t="s">
        <v>2</v>
      </c>
      <c r="B2" s="5"/>
      <c r="C2" s="5"/>
      <c r="D2" s="6"/>
    </row>
    <row r="3" spans="1:4" ht="12.75">
      <c r="A3" s="4"/>
      <c r="B3" s="5"/>
      <c r="C3" s="5"/>
      <c r="D3" s="6"/>
    </row>
    <row r="4" spans="1:4" ht="12.75">
      <c r="A4" s="15" t="s">
        <v>17</v>
      </c>
      <c r="B4" s="8" t="s">
        <v>33</v>
      </c>
      <c r="C4" s="33" t="s">
        <v>36</v>
      </c>
      <c r="D4" s="6"/>
    </row>
    <row r="5" spans="1:4" ht="12.75">
      <c r="A5" s="9" t="s">
        <v>4</v>
      </c>
      <c r="B5" s="10"/>
      <c r="C5" s="11"/>
      <c r="D5" s="6"/>
    </row>
    <row r="6" spans="1:4" ht="12.75">
      <c r="A6" s="4" t="s">
        <v>5</v>
      </c>
      <c r="B6" s="8" t="s">
        <v>6</v>
      </c>
      <c r="C6" s="34">
        <v>1.25</v>
      </c>
      <c r="D6" s="6"/>
    </row>
    <row r="7" spans="1:4" ht="12.75">
      <c r="A7" s="4" t="s">
        <v>7</v>
      </c>
      <c r="B7" s="8" t="s">
        <v>8</v>
      </c>
      <c r="C7" s="35">
        <v>80</v>
      </c>
      <c r="D7" s="6"/>
    </row>
    <row r="8" spans="1:4" ht="12.75">
      <c r="A8" s="4" t="s">
        <v>45</v>
      </c>
      <c r="B8" s="8" t="s">
        <v>10</v>
      </c>
      <c r="C8" s="35">
        <v>154</v>
      </c>
      <c r="D8" s="6"/>
    </row>
    <row r="9" spans="1:4" ht="12.75">
      <c r="A9" s="4" t="s">
        <v>11</v>
      </c>
      <c r="B9" s="8" t="s">
        <v>12</v>
      </c>
      <c r="C9" s="36">
        <v>20</v>
      </c>
      <c r="D9" s="6"/>
    </row>
    <row r="10" spans="1:4" ht="12.75">
      <c r="A10" s="7" t="s">
        <v>13</v>
      </c>
      <c r="B10" s="8" t="s">
        <v>14</v>
      </c>
      <c r="C10" s="31">
        <f>+C6*C9</f>
        <v>25</v>
      </c>
      <c r="D10" s="6"/>
    </row>
    <row r="11" spans="1:4" ht="12.75">
      <c r="A11" s="7" t="s">
        <v>15</v>
      </c>
      <c r="B11" s="8" t="s">
        <v>16</v>
      </c>
      <c r="C11" s="32">
        <f>+((0.2/C6)*(C8-C7))+C8</f>
        <v>165.84</v>
      </c>
      <c r="D11" s="6"/>
    </row>
    <row r="12" spans="1:4" ht="12.75">
      <c r="A12" s="7" t="s">
        <v>80</v>
      </c>
      <c r="B12" s="8"/>
      <c r="C12" s="65">
        <f>+((C9*10)+(C10*32))/128</f>
        <v>7.8125</v>
      </c>
      <c r="D12" s="6"/>
    </row>
    <row r="13" spans="1:4" ht="12.75">
      <c r="A13" s="4"/>
      <c r="B13" s="14"/>
      <c r="C13" s="8"/>
      <c r="D13" s="6"/>
    </row>
    <row r="14" spans="1:4" ht="12.75">
      <c r="A14" s="15" t="s">
        <v>23</v>
      </c>
      <c r="B14" s="8" t="s">
        <v>33</v>
      </c>
      <c r="C14" s="33" t="s">
        <v>37</v>
      </c>
      <c r="D14" s="6"/>
    </row>
    <row r="15" spans="1:4" ht="12.75">
      <c r="A15" s="9" t="s">
        <v>18</v>
      </c>
      <c r="B15" s="5"/>
      <c r="C15" s="8"/>
      <c r="D15" s="6"/>
    </row>
    <row r="16" spans="1:4" ht="12.75">
      <c r="A16" s="4" t="s">
        <v>19</v>
      </c>
      <c r="B16" s="8" t="s">
        <v>8</v>
      </c>
      <c r="C16" s="35">
        <v>154</v>
      </c>
      <c r="D16" s="6"/>
    </row>
    <row r="17" spans="1:4" ht="12.75">
      <c r="A17" s="4" t="s">
        <v>9</v>
      </c>
      <c r="B17" s="8" t="s">
        <v>10</v>
      </c>
      <c r="C17" s="35">
        <v>168</v>
      </c>
      <c r="D17" s="6"/>
    </row>
    <row r="18" spans="1:4" ht="12.75">
      <c r="A18" s="4" t="s">
        <v>20</v>
      </c>
      <c r="B18" s="8" t="s">
        <v>16</v>
      </c>
      <c r="C18" s="35">
        <v>195</v>
      </c>
      <c r="D18" s="6"/>
    </row>
    <row r="19" spans="1:4" ht="12.75">
      <c r="A19" s="15" t="s">
        <v>21</v>
      </c>
      <c r="B19" s="8" t="s">
        <v>22</v>
      </c>
      <c r="C19" s="31">
        <f>+((C17-C16)*((0.2*C9)+C10))/(C18-C17)</f>
        <v>15.037037037037036</v>
      </c>
      <c r="D19" s="6"/>
    </row>
    <row r="20" spans="1:4" ht="12.75">
      <c r="A20" s="15" t="s">
        <v>80</v>
      </c>
      <c r="B20" s="8"/>
      <c r="C20" s="31">
        <f>+C12+((C19*32)/128)</f>
        <v>11.57175925925926</v>
      </c>
      <c r="D20" s="6"/>
    </row>
    <row r="21" spans="1:4" ht="12.75">
      <c r="A21" s="4"/>
      <c r="B21" s="5"/>
      <c r="C21" s="5"/>
      <c r="D21" s="6"/>
    </row>
    <row r="22" spans="1:4" ht="12.75">
      <c r="A22" s="4" t="s">
        <v>24</v>
      </c>
      <c r="B22" s="5"/>
      <c r="C22" s="31">
        <f>+C19+C10</f>
        <v>40.03703703703704</v>
      </c>
      <c r="D22" s="19"/>
    </row>
    <row r="23" spans="1:4" ht="12.75">
      <c r="A23" s="4" t="s">
        <v>25</v>
      </c>
      <c r="B23" s="5"/>
      <c r="C23" s="31">
        <f>+C9*0.48</f>
        <v>9.6</v>
      </c>
      <c r="D23" s="19"/>
    </row>
    <row r="24" spans="1:4" ht="12.75">
      <c r="A24" s="4" t="s">
        <v>26</v>
      </c>
      <c r="B24" s="5"/>
      <c r="C24" s="37">
        <v>0</v>
      </c>
      <c r="D24" s="19"/>
    </row>
    <row r="25" spans="1:4" ht="12.75">
      <c r="A25" s="49" t="s">
        <v>27</v>
      </c>
      <c r="B25" s="5"/>
      <c r="C25" s="31">
        <f>+(C22-(C23+C24))/4</f>
        <v>7.609259259259259</v>
      </c>
      <c r="D25" s="21"/>
    </row>
    <row r="26" spans="1:4" ht="12.75">
      <c r="A26" s="4" t="s">
        <v>28</v>
      </c>
      <c r="B26" s="5"/>
      <c r="C26" s="37">
        <v>6</v>
      </c>
      <c r="D26" s="21"/>
    </row>
    <row r="27" spans="1:4" ht="12.75">
      <c r="A27" s="15" t="s">
        <v>80</v>
      </c>
      <c r="B27" s="5"/>
      <c r="C27" s="31"/>
      <c r="D27" s="21"/>
    </row>
    <row r="28" spans="1:4" ht="12.75">
      <c r="A28" s="49" t="s">
        <v>29</v>
      </c>
      <c r="B28" s="5"/>
      <c r="C28" s="31">
        <f>+C26+C25</f>
        <v>13.60925925925926</v>
      </c>
      <c r="D28" s="21"/>
    </row>
    <row r="29" spans="1:4" ht="12.75">
      <c r="A29" s="4" t="s">
        <v>31</v>
      </c>
      <c r="B29" s="5"/>
      <c r="C29" s="37">
        <v>70</v>
      </c>
      <c r="D29" s="21"/>
    </row>
    <row r="30" spans="1:4" ht="12.75">
      <c r="A30" s="39" t="s">
        <v>57</v>
      </c>
      <c r="B30" s="5"/>
      <c r="C30" s="36">
        <v>0.5</v>
      </c>
      <c r="D30" s="6"/>
    </row>
    <row r="31" spans="1:4" ht="12.75">
      <c r="A31" s="4" t="s">
        <v>56</v>
      </c>
      <c r="B31" s="5"/>
      <c r="C31" s="38">
        <v>0.97</v>
      </c>
      <c r="D31" s="21"/>
    </row>
    <row r="32" spans="1:4" ht="12.75">
      <c r="A32" s="39" t="s">
        <v>46</v>
      </c>
      <c r="B32" s="5"/>
      <c r="C32" s="31">
        <f>+(C30/60)*C29</f>
        <v>0.5833333333333334</v>
      </c>
      <c r="D32" s="6"/>
    </row>
    <row r="33" spans="1:4" ht="12.75">
      <c r="A33" s="4" t="s">
        <v>77</v>
      </c>
      <c r="B33" s="37">
        <v>18</v>
      </c>
      <c r="C33" s="31">
        <f>+B33*0.02</f>
        <v>0.36</v>
      </c>
      <c r="D33" s="6"/>
    </row>
    <row r="34" spans="1:4" ht="12.75">
      <c r="A34" s="4" t="s">
        <v>79</v>
      </c>
      <c r="B34" s="36">
        <f>+B33*0.0625</f>
        <v>1.125</v>
      </c>
      <c r="C34" s="31"/>
      <c r="D34" s="6"/>
    </row>
    <row r="35" spans="1:4" ht="12.75">
      <c r="A35" s="4" t="s">
        <v>78</v>
      </c>
      <c r="B35" s="37">
        <v>0</v>
      </c>
      <c r="C35" s="31">
        <f>+B35*0.045</f>
        <v>0</v>
      </c>
      <c r="D35" s="6"/>
    </row>
    <row r="36" spans="1:4" ht="13.5" thickBot="1">
      <c r="A36" s="49" t="s">
        <v>76</v>
      </c>
      <c r="B36" s="26"/>
      <c r="C36" s="30">
        <f>+C28-(C32+C33+C35)</f>
        <v>12.665925925925926</v>
      </c>
      <c r="D36" s="27"/>
    </row>
  </sheetData>
  <printOptions horizontalCentered="1"/>
  <pageMargins left="0.75" right="0.75" top="1" bottom="1" header="0.5" footer="0.5"/>
  <pageSetup horizontalDpi="300" verticalDpi="300" orientation="portrait" scale="1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2">
      <selection activeCell="B30" sqref="B30"/>
    </sheetView>
  </sheetViews>
  <sheetFormatPr defaultColWidth="9.140625" defaultRowHeight="12.75"/>
  <cols>
    <col min="1" max="1" width="39.7109375" style="0" customWidth="1"/>
  </cols>
  <sheetData>
    <row r="1" spans="1:4" ht="12.75">
      <c r="A1" s="1" t="s">
        <v>0</v>
      </c>
      <c r="B1" s="2"/>
      <c r="C1" s="2"/>
      <c r="D1" s="3" t="s">
        <v>1</v>
      </c>
    </row>
    <row r="2" spans="1:4" ht="12.75">
      <c r="A2" s="4" t="s">
        <v>2</v>
      </c>
      <c r="B2" s="5"/>
      <c r="C2" s="5"/>
      <c r="D2" s="6"/>
    </row>
    <row r="3" spans="1:4" ht="12.75">
      <c r="A3" s="4"/>
      <c r="B3" s="5"/>
      <c r="C3" s="5"/>
      <c r="D3" s="6"/>
    </row>
    <row r="4" spans="1:4" ht="12.75">
      <c r="A4" s="7" t="s">
        <v>3</v>
      </c>
      <c r="B4" s="8" t="s">
        <v>33</v>
      </c>
      <c r="C4" s="42" t="s">
        <v>34</v>
      </c>
      <c r="D4" s="6"/>
    </row>
    <row r="5" spans="1:4" ht="12.75">
      <c r="A5" s="9" t="s">
        <v>4</v>
      </c>
      <c r="B5" s="10"/>
      <c r="C5" s="11"/>
      <c r="D5" s="6"/>
    </row>
    <row r="6" spans="1:4" ht="12.75">
      <c r="A6" s="4" t="s">
        <v>5</v>
      </c>
      <c r="B6" s="8" t="s">
        <v>6</v>
      </c>
      <c r="C6" s="43">
        <v>1.25</v>
      </c>
      <c r="D6" s="6"/>
    </row>
    <row r="7" spans="1:4" ht="12.75">
      <c r="A7" s="4" t="s">
        <v>7</v>
      </c>
      <c r="B7" s="8" t="s">
        <v>8</v>
      </c>
      <c r="C7" s="44">
        <v>65</v>
      </c>
      <c r="D7" s="6"/>
    </row>
    <row r="8" spans="1:4" ht="12.75">
      <c r="A8" s="4" t="s">
        <v>9</v>
      </c>
      <c r="B8" s="8" t="s">
        <v>10</v>
      </c>
      <c r="C8" s="44">
        <v>152</v>
      </c>
      <c r="D8" s="6"/>
    </row>
    <row r="9" spans="1:4" ht="13.5" thickBot="1">
      <c r="A9" s="4" t="s">
        <v>11</v>
      </c>
      <c r="B9" s="8" t="s">
        <v>12</v>
      </c>
      <c r="C9" s="45">
        <v>4</v>
      </c>
      <c r="D9" s="6"/>
    </row>
    <row r="10" spans="1:4" ht="13.5" thickBot="1">
      <c r="A10" s="7" t="s">
        <v>13</v>
      </c>
      <c r="B10" s="12" t="s">
        <v>14</v>
      </c>
      <c r="C10" s="40">
        <f>+C6*C9</f>
        <v>5</v>
      </c>
      <c r="D10" s="13"/>
    </row>
    <row r="11" spans="1:4" ht="13.5" thickBot="1">
      <c r="A11" s="7" t="s">
        <v>15</v>
      </c>
      <c r="B11" s="12" t="s">
        <v>16</v>
      </c>
      <c r="C11" s="41">
        <f>+((0.2/C6)*(C8-C7))+C8</f>
        <v>165.92</v>
      </c>
      <c r="D11" s="13"/>
    </row>
    <row r="12" spans="1:4" ht="12.75">
      <c r="A12" s="7"/>
      <c r="B12" s="12"/>
      <c r="C12" s="8"/>
      <c r="D12" s="13"/>
    </row>
    <row r="13" spans="1:4" ht="12.75">
      <c r="A13" s="4"/>
      <c r="B13" s="14"/>
      <c r="C13" s="8"/>
      <c r="D13" s="6"/>
    </row>
    <row r="14" spans="1:4" ht="12.75">
      <c r="A14" s="15" t="s">
        <v>17</v>
      </c>
      <c r="B14" s="8" t="s">
        <v>33</v>
      </c>
      <c r="C14" s="42" t="s">
        <v>35</v>
      </c>
      <c r="D14" s="6"/>
    </row>
    <row r="15" spans="1:4" ht="12.75">
      <c r="A15" s="9" t="s">
        <v>18</v>
      </c>
      <c r="B15" s="5"/>
      <c r="C15" s="8"/>
      <c r="D15" s="6"/>
    </row>
    <row r="16" spans="1:4" ht="12.75">
      <c r="A16" s="4" t="s">
        <v>19</v>
      </c>
      <c r="B16" s="8" t="s">
        <v>8</v>
      </c>
      <c r="C16" s="44">
        <v>130</v>
      </c>
      <c r="D16" s="6"/>
    </row>
    <row r="17" spans="1:4" ht="12.75">
      <c r="A17" s="4" t="s">
        <v>9</v>
      </c>
      <c r="B17" s="8" t="s">
        <v>10</v>
      </c>
      <c r="C17" s="44">
        <v>145</v>
      </c>
      <c r="D17" s="6"/>
    </row>
    <row r="18" spans="1:4" ht="13.5" thickBot="1">
      <c r="A18" s="4" t="s">
        <v>20</v>
      </c>
      <c r="B18" s="8" t="s">
        <v>16</v>
      </c>
      <c r="C18" s="44">
        <v>190</v>
      </c>
      <c r="D18" s="6"/>
    </row>
    <row r="19" spans="1:4" ht="13.5" thickBot="1">
      <c r="A19" s="15" t="s">
        <v>21</v>
      </c>
      <c r="B19" s="12" t="s">
        <v>22</v>
      </c>
      <c r="C19" s="40">
        <f>+((C17-C16)*((0.2*C9)+C10))/(C18-C17)</f>
        <v>1.9333333333333333</v>
      </c>
      <c r="D19" s="6"/>
    </row>
    <row r="20" spans="1:4" ht="12.75">
      <c r="A20" s="15"/>
      <c r="B20" s="12"/>
      <c r="C20" s="5"/>
      <c r="D20" s="6"/>
    </row>
    <row r="21" spans="1:4" ht="12.75">
      <c r="A21" s="4"/>
      <c r="B21" s="5"/>
      <c r="C21" s="5"/>
      <c r="D21" s="6"/>
    </row>
    <row r="22" spans="1:4" ht="12.75">
      <c r="A22" s="15" t="s">
        <v>23</v>
      </c>
      <c r="B22" s="8" t="s">
        <v>33</v>
      </c>
      <c r="C22" s="42" t="s">
        <v>38</v>
      </c>
      <c r="D22" s="6"/>
    </row>
    <row r="23" spans="1:4" ht="12.75">
      <c r="A23" s="9" t="s">
        <v>18</v>
      </c>
      <c r="B23" s="5"/>
      <c r="C23" s="8"/>
      <c r="D23" s="6"/>
    </row>
    <row r="24" spans="1:4" ht="12.75">
      <c r="A24" s="4" t="s">
        <v>19</v>
      </c>
      <c r="B24" s="8" t="s">
        <v>8</v>
      </c>
      <c r="C24" s="44">
        <v>145</v>
      </c>
      <c r="D24" s="6"/>
    </row>
    <row r="25" spans="1:4" ht="12.75">
      <c r="A25" s="4" t="s">
        <v>9</v>
      </c>
      <c r="B25" s="8" t="s">
        <v>10</v>
      </c>
      <c r="C25" s="44">
        <v>165</v>
      </c>
      <c r="D25" s="6"/>
    </row>
    <row r="26" spans="1:4" ht="13.5" thickBot="1">
      <c r="A26" s="4" t="s">
        <v>20</v>
      </c>
      <c r="B26" s="8" t="s">
        <v>16</v>
      </c>
      <c r="C26" s="44">
        <v>195</v>
      </c>
      <c r="D26" s="6"/>
    </row>
    <row r="27" spans="1:4" ht="13.5" thickBot="1">
      <c r="A27" s="15" t="s">
        <v>21</v>
      </c>
      <c r="B27" s="12" t="s">
        <v>22</v>
      </c>
      <c r="C27" s="40">
        <f>+((C25-C24)*((0.2*C9)+(C10+C19)))/(C26-C25)</f>
        <v>5.155555555555555</v>
      </c>
      <c r="D27" s="6"/>
    </row>
    <row r="28" spans="1:4" ht="13.5" thickBot="1">
      <c r="A28" s="4"/>
      <c r="B28" s="5"/>
      <c r="C28" s="16"/>
      <c r="D28" s="6"/>
    </row>
    <row r="29" spans="1:4" ht="13.5" thickBot="1">
      <c r="A29" s="4" t="s">
        <v>24</v>
      </c>
      <c r="B29" s="17"/>
      <c r="C29" s="40">
        <f>+C27+C19+C10</f>
        <v>12.088888888888889</v>
      </c>
      <c r="D29" s="18"/>
    </row>
    <row r="30" spans="1:4" ht="13.5" thickBot="1">
      <c r="A30" s="4" t="s">
        <v>25</v>
      </c>
      <c r="B30" s="17"/>
      <c r="C30" s="40">
        <f>+C9*0.48</f>
        <v>1.92</v>
      </c>
      <c r="D30" s="18"/>
    </row>
    <row r="31" spans="1:4" ht="13.5" thickBot="1">
      <c r="A31" s="4" t="s">
        <v>26</v>
      </c>
      <c r="B31" s="5"/>
      <c r="C31" s="46">
        <v>0.5</v>
      </c>
      <c r="D31" s="19"/>
    </row>
    <row r="32" spans="1:4" ht="13.5" thickBot="1">
      <c r="A32" s="4" t="s">
        <v>27</v>
      </c>
      <c r="B32" s="17"/>
      <c r="C32" s="40">
        <f>+(C29-(C30+C31))/4</f>
        <v>2.417222222222222</v>
      </c>
      <c r="D32" s="20"/>
    </row>
    <row r="33" spans="1:4" ht="13.5" thickBot="1">
      <c r="A33" s="4" t="s">
        <v>28</v>
      </c>
      <c r="B33" s="5"/>
      <c r="C33" s="46">
        <v>6.5</v>
      </c>
      <c r="D33" s="21"/>
    </row>
    <row r="34" spans="1:4" ht="13.5" thickBot="1">
      <c r="A34" s="4" t="s">
        <v>29</v>
      </c>
      <c r="B34" s="17"/>
      <c r="C34" s="40">
        <f>+C33+C32</f>
        <v>8.917222222222222</v>
      </c>
      <c r="D34" s="20"/>
    </row>
    <row r="35" spans="1:4" ht="12.75">
      <c r="A35" s="4" t="s">
        <v>31</v>
      </c>
      <c r="B35" s="17"/>
      <c r="C35" s="47">
        <v>60</v>
      </c>
      <c r="D35" s="20"/>
    </row>
    <row r="36" spans="1:4" ht="13.5" thickBot="1">
      <c r="A36" s="4" t="s">
        <v>32</v>
      </c>
      <c r="B36" s="5"/>
      <c r="C36" s="48">
        <v>0.15</v>
      </c>
      <c r="D36" s="6"/>
    </row>
    <row r="37" spans="1:4" ht="13.5" thickBot="1">
      <c r="A37" s="4" t="s">
        <v>43</v>
      </c>
      <c r="B37" s="8">
        <v>0</v>
      </c>
      <c r="C37" s="40">
        <f>+B37*0.02</f>
        <v>0</v>
      </c>
      <c r="D37" s="29"/>
    </row>
    <row r="38" spans="1:4" ht="13.5" thickBot="1">
      <c r="A38" s="4" t="s">
        <v>44</v>
      </c>
      <c r="B38" s="8">
        <v>4</v>
      </c>
      <c r="C38" s="40">
        <f>+B38*0.045</f>
        <v>0.18</v>
      </c>
      <c r="D38" s="29"/>
    </row>
    <row r="39" spans="1:4" ht="13.5" thickBot="1">
      <c r="A39" s="22" t="s">
        <v>30</v>
      </c>
      <c r="B39" s="23"/>
      <c r="C39" s="40">
        <f>+C34-((C34*C36)+(C37+C38))</f>
        <v>7.399638888888889</v>
      </c>
      <c r="D39" s="24"/>
    </row>
  </sheetData>
  <printOptions horizontalCentered="1" verticalCentered="1"/>
  <pageMargins left="0.75" right="0.75" top="1" bottom="1" header="0.5" footer="0.5"/>
  <pageSetup horizontalDpi="300" verticalDpi="300" orientation="portrait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3" sqref="A13"/>
    </sheetView>
  </sheetViews>
  <sheetFormatPr defaultColWidth="9.140625" defaultRowHeight="12.75"/>
  <cols>
    <col min="1" max="1" width="41.7109375" style="0" customWidth="1"/>
  </cols>
  <sheetData>
    <row r="1" spans="1:2" ht="12.75">
      <c r="A1" s="7" t="s">
        <v>39</v>
      </c>
      <c r="B1" s="25">
        <v>0</v>
      </c>
    </row>
    <row r="2" spans="1:2" ht="12.75">
      <c r="A2" s="15" t="s">
        <v>40</v>
      </c>
      <c r="B2">
        <v>0</v>
      </c>
    </row>
    <row r="8" ht="12.75">
      <c r="A8" t="s">
        <v>41</v>
      </c>
    </row>
    <row r="9" ht="12.75">
      <c r="A9" t="s">
        <v>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C16" sqref="C16"/>
    </sheetView>
  </sheetViews>
  <sheetFormatPr defaultColWidth="9.140625" defaultRowHeight="12.75"/>
  <cols>
    <col min="1" max="1" width="30.57421875" style="0" customWidth="1"/>
    <col min="2" max="2" width="9.140625" style="25" customWidth="1"/>
  </cols>
  <sheetData>
    <row r="1" spans="1:2" ht="13.5" thickTop="1">
      <c r="A1" s="50" t="s">
        <v>47</v>
      </c>
      <c r="B1" s="51">
        <v>8</v>
      </c>
    </row>
    <row r="2" spans="1:2" ht="12.75">
      <c r="A2" s="52" t="s">
        <v>54</v>
      </c>
      <c r="B2" s="53">
        <v>70</v>
      </c>
    </row>
    <row r="3" spans="1:2" ht="12.75">
      <c r="A3" s="52" t="s">
        <v>48</v>
      </c>
      <c r="B3" s="54">
        <v>0.04</v>
      </c>
    </row>
    <row r="4" spans="1:2" ht="12.75">
      <c r="A4" s="52" t="s">
        <v>49</v>
      </c>
      <c r="B4" s="55">
        <f>+(B3/2)+0.38</f>
        <v>0.4</v>
      </c>
    </row>
    <row r="5" spans="1:2" ht="12.75">
      <c r="A5" s="52" t="s">
        <v>50</v>
      </c>
      <c r="B5" s="53">
        <v>2.5</v>
      </c>
    </row>
    <row r="6" spans="1:2" ht="12.75">
      <c r="A6" s="52" t="s">
        <v>51</v>
      </c>
      <c r="B6" s="56">
        <f>+(B5*4)/B1</f>
        <v>1.25</v>
      </c>
    </row>
    <row r="7" spans="1:2" ht="12.75">
      <c r="A7" s="52" t="s">
        <v>52</v>
      </c>
      <c r="B7" s="57">
        <v>152</v>
      </c>
    </row>
    <row r="8" spans="1:2" ht="12.75">
      <c r="A8" s="52" t="s">
        <v>55</v>
      </c>
      <c r="B8" s="56">
        <f>+B5*8.33</f>
        <v>20.825</v>
      </c>
    </row>
    <row r="9" spans="1:2" ht="13.5" thickBot="1">
      <c r="A9" s="58" t="s">
        <v>53</v>
      </c>
      <c r="B9" s="59">
        <f>+(B8*B7-(B4*B1)*(B2-B7))/B8</f>
        <v>164.60024009603842</v>
      </c>
    </row>
    <row r="10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4" sqref="A14"/>
    </sheetView>
  </sheetViews>
  <sheetFormatPr defaultColWidth="9.140625" defaultRowHeight="12.75"/>
  <cols>
    <col min="1" max="1" width="18.57421875" style="25" customWidth="1"/>
    <col min="2" max="16384" width="9.140625" style="25" customWidth="1"/>
  </cols>
  <sheetData>
    <row r="1" spans="2:5" s="60" customFormat="1" ht="12.75">
      <c r="B1" s="60" t="s">
        <v>60</v>
      </c>
      <c r="C1" s="60" t="s">
        <v>65</v>
      </c>
      <c r="D1" s="60" t="s">
        <v>61</v>
      </c>
      <c r="E1" s="60" t="s">
        <v>64</v>
      </c>
    </row>
    <row r="2" spans="1:8" ht="12.75">
      <c r="A2" s="25" t="s">
        <v>69</v>
      </c>
      <c r="B2" s="25">
        <v>10</v>
      </c>
      <c r="C2" s="62">
        <v>0.85</v>
      </c>
      <c r="D2" s="64">
        <f aca="true" t="shared" si="0" ref="D2:D7">46.31*C2</f>
        <v>39.3635</v>
      </c>
      <c r="E2" s="64">
        <f aca="true" t="shared" si="1" ref="E2:E7">+B2*D2</f>
        <v>393.635</v>
      </c>
      <c r="H2" s="63"/>
    </row>
    <row r="3" spans="1:5" ht="12.75">
      <c r="A3" s="25" t="s">
        <v>70</v>
      </c>
      <c r="B3" s="25">
        <v>8</v>
      </c>
      <c r="C3" s="62">
        <v>0.805</v>
      </c>
      <c r="D3" s="64">
        <f t="shared" si="0"/>
        <v>37.27955000000001</v>
      </c>
      <c r="E3" s="64">
        <f t="shared" si="1"/>
        <v>298.23640000000006</v>
      </c>
    </row>
    <row r="4" spans="1:5" ht="12.75">
      <c r="A4" s="25" t="s">
        <v>71</v>
      </c>
      <c r="B4" s="25">
        <v>1</v>
      </c>
      <c r="C4" s="62">
        <v>0.73</v>
      </c>
      <c r="D4" s="64">
        <f t="shared" si="0"/>
        <v>33.8063</v>
      </c>
      <c r="E4" s="64">
        <f t="shared" si="1"/>
        <v>33.8063</v>
      </c>
    </row>
    <row r="5" spans="1:5" ht="12.75">
      <c r="A5" s="25" t="s">
        <v>72</v>
      </c>
      <c r="C5" s="62"/>
      <c r="D5" s="64">
        <f t="shared" si="0"/>
        <v>0</v>
      </c>
      <c r="E5" s="64">
        <f t="shared" si="1"/>
        <v>0</v>
      </c>
    </row>
    <row r="6" spans="1:5" ht="12.75">
      <c r="A6" s="25" t="s">
        <v>73</v>
      </c>
      <c r="C6" s="62"/>
      <c r="D6" s="64">
        <f t="shared" si="0"/>
        <v>0</v>
      </c>
      <c r="E6" s="64">
        <f t="shared" si="1"/>
        <v>0</v>
      </c>
    </row>
    <row r="7" spans="1:5" ht="12.75">
      <c r="A7" s="25" t="s">
        <v>74</v>
      </c>
      <c r="C7" s="62"/>
      <c r="D7" s="64">
        <f t="shared" si="0"/>
        <v>0</v>
      </c>
      <c r="E7" s="64">
        <f t="shared" si="1"/>
        <v>0</v>
      </c>
    </row>
    <row r="8" spans="1:5" ht="12.75">
      <c r="A8" s="25" t="s">
        <v>66</v>
      </c>
      <c r="E8" s="64">
        <f>SUM(E2:E7)</f>
        <v>725.6777</v>
      </c>
    </row>
    <row r="9" spans="1:2" ht="12.75">
      <c r="A9" s="25" t="s">
        <v>75</v>
      </c>
      <c r="B9" s="25">
        <v>10.25</v>
      </c>
    </row>
    <row r="10" spans="1:2" ht="12.75">
      <c r="A10" s="25" t="s">
        <v>68</v>
      </c>
      <c r="B10" s="63">
        <f>+E8/B9</f>
        <v>70.7978243902439</v>
      </c>
    </row>
    <row r="11" spans="1:2" ht="12.75">
      <c r="A11" s="25" t="s">
        <v>67</v>
      </c>
      <c r="B11" s="62">
        <v>0.75</v>
      </c>
    </row>
    <row r="12" spans="1:2" ht="12.75">
      <c r="A12" s="25" t="s">
        <v>63</v>
      </c>
      <c r="B12" s="63">
        <f>+((B10*B11)/1000)+1</f>
        <v>1.0530983682926829</v>
      </c>
    </row>
    <row r="21" ht="12.75">
      <c r="A21" s="61" t="s">
        <v>58</v>
      </c>
    </row>
    <row r="22" ht="12.75">
      <c r="A22" s="61"/>
    </row>
    <row r="23" ht="12.75">
      <c r="A23" s="61" t="s">
        <v>59</v>
      </c>
    </row>
    <row r="26" spans="2:4" ht="12.75">
      <c r="B26" s="25" t="s">
        <v>62</v>
      </c>
      <c r="D26" s="25" t="s">
        <v>61</v>
      </c>
    </row>
    <row r="27" spans="2:6" ht="12.75">
      <c r="B27" s="62">
        <v>0.85</v>
      </c>
      <c r="C27" s="62"/>
      <c r="D27" s="64">
        <f>(46.31*B27)</f>
        <v>39.3635</v>
      </c>
      <c r="E27" s="64"/>
      <c r="F27" s="6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Roadrunner Beer and Winery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Wile E. Coyote</dc:creator>
  <cp:keywords/>
  <dc:description/>
  <cp:lastModifiedBy>Wile E Coyote</cp:lastModifiedBy>
  <cp:lastPrinted>2006-09-24T15:31:52Z</cp:lastPrinted>
  <dcterms:created xsi:type="dcterms:W3CDTF">2006-01-08T13:26:13Z</dcterms:created>
  <dcterms:modified xsi:type="dcterms:W3CDTF">2006-11-08T13:01:08Z</dcterms:modified>
  <cp:category/>
  <cp:version/>
  <cp:contentType/>
  <cp:contentStatus/>
</cp:coreProperties>
</file>